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概算表" sheetId="1" r:id="rId1"/>
    <sheet name="对比表" sheetId="3" state="hidden" r:id="rId2"/>
  </sheets>
  <definedNames>
    <definedName name="_xlnm.Print_Area" localSheetId="0">总概算表!$A$1:$R$38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<sst xmlns="http://schemas.openxmlformats.org/spreadsheetml/2006/main" count="111" uniqueCount="81">
  <si>
    <t>概算对比表</t>
  </si>
  <si>
    <t>建设项目：石刻文化城雨水管网工程( 二标段）</t>
  </si>
  <si>
    <t>单位：万元</t>
  </si>
  <si>
    <t>序号</t>
  </si>
  <si>
    <t>工程或费用名称</t>
  </si>
  <si>
    <t>送审概算造价（万元）</t>
  </si>
  <si>
    <t>审核概算造价（万元）</t>
  </si>
  <si>
    <t>差异金额（万元）</t>
  </si>
  <si>
    <t>技术经济指标及备注</t>
  </si>
  <si>
    <r>
      <rPr>
        <b/>
        <sz val="10"/>
        <rFont val="宋体"/>
        <charset val="134"/>
      </rPr>
      <t>占总投资比例</t>
    </r>
    <r>
      <rPr>
        <b/>
        <sz val="10"/>
        <rFont val="Times New Roman"/>
        <charset val="204"/>
      </rPr>
      <t>%</t>
    </r>
  </si>
  <si>
    <t>建筑工程费</t>
  </si>
  <si>
    <t>安装工程费</t>
  </si>
  <si>
    <t>设备购置费</t>
  </si>
  <si>
    <t>其它费用</t>
  </si>
  <si>
    <r>
      <rPr>
        <b/>
        <sz val="10"/>
        <rFont val="宋体"/>
        <charset val="134"/>
      </rPr>
      <t>合</t>
    </r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计</t>
    </r>
  </si>
  <si>
    <t>合  计</t>
  </si>
  <si>
    <t>指标名称</t>
  </si>
  <si>
    <t>单位</t>
  </si>
  <si>
    <t>数量</t>
  </si>
  <si>
    <t>单位造价（元）</t>
  </si>
  <si>
    <t>一</t>
  </si>
  <si>
    <t>工程费用</t>
  </si>
  <si>
    <t>排水工程</t>
  </si>
  <si>
    <t>交通工程</t>
  </si>
  <si>
    <t>二</t>
  </si>
  <si>
    <t>工程建设其他费用</t>
  </si>
  <si>
    <t>㈠</t>
  </si>
  <si>
    <t>项目建设用地费用</t>
  </si>
  <si>
    <t>㈡</t>
  </si>
  <si>
    <t>与项目建设有关的其他费用</t>
  </si>
  <si>
    <t>场地准备费及临时设施费</t>
  </si>
  <si>
    <t>2021年概算编制办法</t>
  </si>
  <si>
    <t>项目建设管理费</t>
  </si>
  <si>
    <t>工程建设监理费</t>
  </si>
  <si>
    <t>工程招标代理服务费</t>
  </si>
  <si>
    <t>招标交易服务费</t>
  </si>
  <si>
    <t>前期工作费</t>
  </si>
  <si>
    <t>可研编制和评估费</t>
  </si>
  <si>
    <t>按提供的合同与一标段分摊金额</t>
  </si>
  <si>
    <t>环境影响评价费</t>
  </si>
  <si>
    <t>不涉及</t>
  </si>
  <si>
    <t>地质灾害危险性评估费</t>
  </si>
  <si>
    <t>社会稳定风险评估费</t>
  </si>
  <si>
    <t>方案设计费用</t>
  </si>
  <si>
    <t>前期调研费用</t>
  </si>
  <si>
    <t>管网排查费用</t>
  </si>
  <si>
    <t>工程勘察费</t>
  </si>
  <si>
    <t>工程设计费</t>
  </si>
  <si>
    <t>咨询费</t>
  </si>
  <si>
    <t>设计咨询费(含施工图审查费）</t>
  </si>
  <si>
    <t>工程量清单及组价编制及审核费</t>
  </si>
  <si>
    <t>施工阶段工程造价全过程控制费</t>
  </si>
  <si>
    <t>工程保险费</t>
  </si>
  <si>
    <t>安全生产保障费</t>
  </si>
  <si>
    <t>水土保持补偿费</t>
  </si>
  <si>
    <t>城市道路占用挖掘及市政设施损坏补偿费</t>
  </si>
  <si>
    <t>渝价【2009】442号</t>
  </si>
  <si>
    <t>三</t>
  </si>
  <si>
    <t>预备费</t>
  </si>
  <si>
    <t>基本预备费</t>
  </si>
  <si>
    <t>(一+二-征地费用)*5%</t>
  </si>
  <si>
    <r>
      <rPr>
        <b/>
        <sz val="10"/>
        <rFont val="宋体"/>
        <charset val="134"/>
      </rPr>
      <t>一</t>
    </r>
    <r>
      <rPr>
        <b/>
        <sz val="10"/>
        <rFont val="Times New Roman"/>
        <charset val="134"/>
      </rPr>
      <t>~</t>
    </r>
    <r>
      <rPr>
        <b/>
        <sz val="10"/>
        <rFont val="宋体"/>
        <charset val="134"/>
      </rPr>
      <t>三合计</t>
    </r>
  </si>
  <si>
    <t>四</t>
  </si>
  <si>
    <t>建设期贷款利息</t>
  </si>
  <si>
    <t>不计</t>
  </si>
  <si>
    <t>五</t>
  </si>
  <si>
    <t>建设项目概算总投资</t>
  </si>
  <si>
    <t>一+二+三+四</t>
  </si>
  <si>
    <t>可研批复金额（万元）</t>
  </si>
  <si>
    <t>概算送审金额（万元）</t>
  </si>
  <si>
    <t>概算与可研批复差额（万元）</t>
  </si>
  <si>
    <t>比可研批复增(减)比例</t>
  </si>
  <si>
    <t>备注</t>
  </si>
  <si>
    <t>建筑安装工程费</t>
  </si>
  <si>
    <t>（一）</t>
  </si>
  <si>
    <t>学府二路段</t>
  </si>
  <si>
    <t>（二）</t>
  </si>
  <si>
    <t>峡谷公园段</t>
  </si>
  <si>
    <t>工程建设其他费</t>
  </si>
  <si>
    <t>可研按8%计算，概算按5%计算</t>
  </si>
  <si>
    <t>总投资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</si>
</sst>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</numFmts>
  <fonts count="39">
    <font>
      <sz val="10"/>
      <color rgb="FF000000"/>
      <name val="Times New Roman"/>
      <charset val="204"/>
    </font>
    <font>
      <sz val="11"/>
      <color rgb="FF000000"/>
      <name val="宋体"/>
      <charset val="134"/>
    </font>
    <font>
      <sz val="10"/>
      <name val="Times New Roman"/>
      <charset val="204"/>
    </font>
    <font>
      <sz val="10.5"/>
      <name val="Times New Roman"/>
      <charset val="204"/>
    </font>
    <font>
      <sz val="9"/>
      <name val="Times New Roman"/>
      <charset val="204"/>
    </font>
    <font>
      <b/>
      <sz val="9"/>
      <name val="Times New Roman"/>
      <charset val="204"/>
    </font>
    <font>
      <b/>
      <sz val="16"/>
      <name val="宋体"/>
      <charset val="134"/>
    </font>
    <font>
      <b/>
      <sz val="16"/>
      <name val="Times New Roman"/>
      <charset val="20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1"/>
      <name val="Times New Roman"/>
      <charset val="0"/>
    </font>
    <font>
      <b/>
      <sz val="10"/>
      <name val="Times New Roman"/>
      <charset val="204"/>
    </font>
    <font>
      <sz val="14"/>
      <name val="宋体"/>
      <charset val="204"/>
    </font>
    <font>
      <sz val="10.5"/>
      <name val="宋体"/>
      <charset val="134"/>
    </font>
    <font>
      <sz val="10"/>
      <name val="宋体"/>
      <charset val="20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" borderId="11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4" applyNumberFormat="0" applyAlignment="0" applyProtection="0">
      <alignment vertical="center"/>
    </xf>
    <xf numFmtId="0" fontId="28" fillId="4" borderId="15" applyNumberFormat="0" applyAlignment="0" applyProtection="0">
      <alignment vertical="center"/>
    </xf>
    <xf numFmtId="0" fontId="29" fillId="4" borderId="14" applyNumberFormat="0" applyAlignment="0" applyProtection="0">
      <alignment vertical="center"/>
    </xf>
    <xf numFmtId="0" fontId="30" fillId="5" borderId="16" applyNumberFormat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8" fillId="0" borderId="0">
      <alignment vertical="center"/>
    </xf>
  </cellStyleXfs>
  <cellXfs count="79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0" fontId="1" fillId="0" borderId="1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0" fontId="1" fillId="0" borderId="2" xfId="0" applyNumberFormat="1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10" fontId="1" fillId="0" borderId="3" xfId="0" applyNumberFormat="1" applyFont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top"/>
    </xf>
    <xf numFmtId="176" fontId="3" fillId="0" borderId="0" xfId="0" applyNumberFormat="1" applyFont="1" applyFill="1" applyBorder="1" applyAlignment="1">
      <alignment horizontal="left" vertical="top"/>
    </xf>
    <xf numFmtId="176" fontId="4" fillId="0" borderId="0" xfId="0" applyNumberFormat="1" applyFont="1" applyFill="1" applyBorder="1" applyAlignment="1">
      <alignment horizontal="left" vertical="top"/>
    </xf>
    <xf numFmtId="176" fontId="5" fillId="0" borderId="0" xfId="0" applyNumberFormat="1" applyFont="1" applyFill="1" applyBorder="1" applyAlignment="1">
      <alignment horizontal="left" vertical="top"/>
    </xf>
    <xf numFmtId="176" fontId="2" fillId="0" borderId="0" xfId="0" applyNumberFormat="1" applyFont="1" applyFill="1" applyBorder="1" applyAlignment="1">
      <alignment horizontal="center" vertical="top"/>
    </xf>
    <xf numFmtId="176" fontId="2" fillId="0" borderId="0" xfId="0" applyNumberFormat="1" applyFont="1" applyFill="1" applyBorder="1" applyAlignment="1">
      <alignment horizontal="left" vertical="top" wrapText="1"/>
    </xf>
    <xf numFmtId="176" fontId="2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 wrapText="1"/>
    </xf>
    <xf numFmtId="176" fontId="7" fillId="0" borderId="0" xfId="0" applyNumberFormat="1" applyFont="1" applyFill="1" applyBorder="1" applyAlignment="1">
      <alignment horizontal="center" vertical="center"/>
    </xf>
    <xf numFmtId="176" fontId="8" fillId="0" borderId="4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9" fillId="0" borderId="5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shrinkToFit="1"/>
    </xf>
    <xf numFmtId="176" fontId="11" fillId="0" borderId="6" xfId="0" applyNumberFormat="1" applyFont="1" applyFill="1" applyBorder="1" applyAlignment="1">
      <alignment horizontal="center" vertical="center" shrinkToFit="1"/>
    </xf>
    <xf numFmtId="176" fontId="12" fillId="0" borderId="1" xfId="0" applyNumberFormat="1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 shrinkToFit="1"/>
    </xf>
    <xf numFmtId="176" fontId="12" fillId="0" borderId="1" xfId="0" applyNumberFormat="1" applyFont="1" applyFill="1" applyBorder="1" applyAlignment="1">
      <alignment horizontal="center" vertical="center"/>
    </xf>
    <xf numFmtId="176" fontId="10" fillId="0" borderId="6" xfId="0" applyNumberFormat="1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shrinkToFit="1"/>
    </xf>
    <xf numFmtId="176" fontId="13" fillId="0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left" vertical="top" wrapText="1"/>
    </xf>
    <xf numFmtId="176" fontId="3" fillId="0" borderId="0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justify"/>
    </xf>
    <xf numFmtId="176" fontId="15" fillId="0" borderId="0" xfId="0" applyNumberFormat="1" applyFont="1" applyFill="1" applyBorder="1" applyAlignment="1">
      <alignment horizontal="center" vertical="center"/>
    </xf>
    <xf numFmtId="10" fontId="3" fillId="0" borderId="0" xfId="3" applyNumberFormat="1" applyFont="1" applyFill="1" applyBorder="1" applyAlignment="1">
      <alignment horizontal="center" vertical="center"/>
    </xf>
    <xf numFmtId="10" fontId="3" fillId="0" borderId="0" xfId="0" applyNumberFormat="1" applyFont="1" applyFill="1" applyBorder="1" applyAlignment="1">
      <alignment horizontal="center" vertical="center"/>
    </xf>
    <xf numFmtId="176" fontId="9" fillId="0" borderId="7" xfId="0" applyNumberFormat="1" applyFont="1" applyFill="1" applyBorder="1" applyAlignment="1">
      <alignment horizontal="center" vertical="center" wrapText="1"/>
    </xf>
    <xf numFmtId="176" fontId="9" fillId="0" borderId="8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vertical="center" wrapText="1"/>
    </xf>
    <xf numFmtId="176" fontId="10" fillId="0" borderId="3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shrinkToFit="1"/>
    </xf>
    <xf numFmtId="176" fontId="9" fillId="0" borderId="1" xfId="0" applyNumberFormat="1" applyFont="1" applyFill="1" applyBorder="1" applyAlignment="1">
      <alignment horizontal="center" vertical="center" wrapText="1" shrinkToFit="1"/>
    </xf>
    <xf numFmtId="176" fontId="10" fillId="0" borderId="1" xfId="0" applyNumberFormat="1" applyFont="1" applyFill="1" applyBorder="1" applyAlignment="1">
      <alignment horizontal="center" vertical="center" wrapText="1" shrinkToFit="1"/>
    </xf>
    <xf numFmtId="176" fontId="11" fillId="0" borderId="1" xfId="0" applyNumberFormat="1" applyFont="1" applyFill="1" applyBorder="1" applyAlignment="1">
      <alignment horizontal="center" vertical="center" wrapText="1"/>
    </xf>
    <xf numFmtId="176" fontId="11" fillId="0" borderId="6" xfId="0" applyNumberFormat="1" applyFont="1" applyFill="1" applyBorder="1" applyAlignment="1">
      <alignment horizontal="center" vertical="center" wrapText="1"/>
    </xf>
    <xf numFmtId="176" fontId="11" fillId="0" borderId="9" xfId="0" applyNumberFormat="1" applyFont="1" applyFill="1" applyBorder="1" applyAlignment="1">
      <alignment horizontal="center" vertical="center" wrapText="1"/>
    </xf>
    <xf numFmtId="176" fontId="8" fillId="0" borderId="6" xfId="0" applyNumberFormat="1" applyFont="1" applyFill="1" applyBorder="1" applyAlignment="1">
      <alignment horizontal="center" vertical="center" wrapText="1"/>
    </xf>
    <xf numFmtId="176" fontId="11" fillId="0" borderId="9" xfId="0" applyNumberFormat="1" applyFont="1" applyFill="1" applyBorder="1" applyAlignment="1">
      <alignment horizontal="center" vertical="center" shrinkToFit="1"/>
    </xf>
    <xf numFmtId="176" fontId="10" fillId="0" borderId="9" xfId="0" applyNumberFormat="1" applyFont="1" applyFill="1" applyBorder="1" applyAlignment="1">
      <alignment horizontal="center" vertical="center" shrinkToFit="1"/>
    </xf>
    <xf numFmtId="176" fontId="8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16" fillId="0" borderId="0" xfId="0" applyNumberFormat="1" applyFont="1" applyFill="1" applyBorder="1" applyAlignment="1">
      <alignment horizontal="left" vertical="top"/>
    </xf>
    <xf numFmtId="10" fontId="3" fillId="0" borderId="0" xfId="3" applyNumberFormat="1" applyFont="1" applyFill="1" applyBorder="1" applyAlignment="1">
      <alignment horizontal="left" vertical="top"/>
    </xf>
    <xf numFmtId="176" fontId="11" fillId="0" borderId="10" xfId="0" applyNumberFormat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vertical="center"/>
    </xf>
    <xf numFmtId="176" fontId="11" fillId="0" borderId="10" xfId="0" applyNumberFormat="1" applyFont="1" applyFill="1" applyBorder="1" applyAlignment="1">
      <alignment horizontal="center" vertical="center" shrinkToFit="1"/>
    </xf>
    <xf numFmtId="176" fontId="4" fillId="0" borderId="0" xfId="0" applyNumberFormat="1" applyFont="1" applyFill="1" applyBorder="1" applyAlignment="1">
      <alignment horizontal="left"/>
    </xf>
    <xf numFmtId="176" fontId="10" fillId="0" borderId="10" xfId="0" applyNumberFormat="1" applyFont="1" applyFill="1" applyBorder="1" applyAlignment="1">
      <alignment horizontal="center" vertical="center" shrinkToFit="1"/>
    </xf>
    <xf numFmtId="10" fontId="3" fillId="0" borderId="0" xfId="0" applyNumberFormat="1" applyFont="1" applyFill="1" applyBorder="1" applyAlignment="1">
      <alignment horizontal="left" vertical="top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20320</xdr:colOff>
      <xdr:row>8</xdr:row>
      <xdr:rowOff>43180</xdr:rowOff>
    </xdr:to>
    <xdr:grpSp>
      <xdr:nvGrpSpPr>
        <xdr:cNvPr id="2" name="Group 2"/>
        <xdr:cNvGrpSpPr/>
      </xdr:nvGrpSpPr>
      <xdr:grpSpPr>
        <a:xfrm>
          <a:off x="0" y="2870200"/>
          <a:ext cx="20320" cy="43180"/>
          <a:chOff x="0" y="0"/>
          <a:chExt cx="20320" cy="43180"/>
        </a:xfrm>
      </xdr:grpSpPr>
      <xdr:pic>
        <xdr:nvPicPr>
          <xdr:cNvPr id="3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  <xdr:pic>
        <xdr:nvPicPr>
          <xdr:cNvPr id="4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  <xdr:pic>
        <xdr:nvPicPr>
          <xdr:cNvPr id="5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  <xdr:pic>
        <xdr:nvPicPr>
          <xdr:cNvPr id="6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  <xdr:pic>
        <xdr:nvPicPr>
          <xdr:cNvPr id="7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  <xdr:pic>
        <xdr:nvPicPr>
          <xdr:cNvPr id="8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6223</xdr:colOff>
      <xdr:row>7</xdr:row>
      <xdr:rowOff>6096</xdr:rowOff>
    </xdr:from>
    <xdr:to>
      <xdr:col>1</xdr:col>
      <xdr:colOff>26035</xdr:colOff>
      <xdr:row>7</xdr:row>
      <xdr:rowOff>21336</xdr:rowOff>
    </xdr:to>
    <xdr:pic>
      <xdr:nvPicPr>
        <xdr:cNvPr id="9" name="image2.png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965" y="2558415"/>
          <a:ext cx="20320" cy="15240"/>
        </a:xfrm>
        <a:prstGeom prst="rect">
          <a:avLst/>
        </a:prstGeom>
      </xdr:spPr>
    </xdr:pic>
    <xdr:clientData/>
  </xdr:twoCellAnchor>
  <xdr:twoCellAnchor editAs="oneCell">
    <xdr:from>
      <xdr:col>0</xdr:col>
      <xdr:colOff>559308</xdr:colOff>
      <xdr:row>8</xdr:row>
      <xdr:rowOff>6096</xdr:rowOff>
    </xdr:from>
    <xdr:to>
      <xdr:col>1</xdr:col>
      <xdr:colOff>45720</xdr:colOff>
      <xdr:row>9</xdr:row>
      <xdr:rowOff>288035</xdr:rowOff>
    </xdr:to>
    <xdr:grpSp>
      <xdr:nvGrpSpPr>
        <xdr:cNvPr id="10" name="Group 10"/>
        <xdr:cNvGrpSpPr/>
      </xdr:nvGrpSpPr>
      <xdr:grpSpPr>
        <a:xfrm>
          <a:off x="476250" y="2875915"/>
          <a:ext cx="45720" cy="599440"/>
          <a:chOff x="0" y="0"/>
          <a:chExt cx="20320" cy="601980"/>
        </a:xfrm>
      </xdr:grpSpPr>
      <xdr:pic>
        <xdr:nvPicPr>
          <xdr:cNvPr id="11" name="image3.png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521208"/>
          </a:xfrm>
          <a:prstGeom prst="rect">
            <a:avLst/>
          </a:prstGeom>
        </xdr:spPr>
      </xdr:pic>
      <xdr:pic>
        <xdr:nvPicPr>
          <xdr:cNvPr id="12" name="image4.png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251459"/>
            <a:ext cx="19812" cy="350520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323215</xdr:colOff>
      <xdr:row>9</xdr:row>
      <xdr:rowOff>149860</xdr:rowOff>
    </xdr:from>
    <xdr:to>
      <xdr:col>0</xdr:col>
      <xdr:colOff>371602</xdr:colOff>
      <xdr:row>11</xdr:row>
      <xdr:rowOff>217362</xdr:rowOff>
    </xdr:to>
    <xdr:grpSp>
      <xdr:nvGrpSpPr>
        <xdr:cNvPr id="13" name="Group 10"/>
        <xdr:cNvGrpSpPr/>
      </xdr:nvGrpSpPr>
      <xdr:grpSpPr>
        <a:xfrm>
          <a:off x="323215" y="3337560"/>
          <a:ext cx="48260" cy="702310"/>
          <a:chOff x="0" y="0"/>
          <a:chExt cx="20320" cy="601980"/>
        </a:xfrm>
      </xdr:grpSpPr>
      <xdr:pic>
        <xdr:nvPicPr>
          <xdr:cNvPr id="14" name="image3.png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521208"/>
          </a:xfrm>
          <a:prstGeom prst="rect">
            <a:avLst/>
          </a:prstGeom>
        </xdr:spPr>
      </xdr:pic>
      <xdr:pic>
        <xdr:nvPicPr>
          <xdr:cNvPr id="15" name="image4.png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251459"/>
            <a:ext cx="19812" cy="35052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3"/>
  <sheetViews>
    <sheetView tabSelected="1" view="pageBreakPreview" zoomScaleNormal="100" workbookViewId="0">
      <pane ySplit="4" topLeftCell="A5" activePane="bottomLeft" state="frozen"/>
      <selection/>
      <selection pane="bottomLeft" activeCell="M7" sqref="M7"/>
    </sheetView>
  </sheetViews>
  <sheetFormatPr defaultColWidth="9" defaultRowHeight="12.75"/>
  <cols>
    <col min="1" max="1" width="8.33333333333333" style="20" customWidth="1"/>
    <col min="2" max="2" width="13.6666666666667" style="21" customWidth="1"/>
    <col min="3" max="3" width="7.66666666666667" style="22" customWidth="1"/>
    <col min="4" max="4" width="5.83333333333333" style="22" customWidth="1"/>
    <col min="5" max="5" width="7.66666666666667" style="22" customWidth="1"/>
    <col min="6" max="6" width="6.66666666666667" style="22" customWidth="1"/>
    <col min="7" max="7" width="9.33333333333333" style="22" customWidth="1"/>
    <col min="8" max="8" width="12.6666666666667" style="22" customWidth="1"/>
    <col min="9" max="9" width="10.1666666666667" style="22" customWidth="1"/>
    <col min="10" max="10" width="6.33333333333333" style="22" customWidth="1"/>
    <col min="11" max="11" width="7.83333333333333" style="22" customWidth="1"/>
    <col min="12" max="12" width="8" style="22" customWidth="1"/>
    <col min="13" max="13" width="12.6666666666667" style="22" customWidth="1"/>
    <col min="14" max="14" width="7.5" style="22" customWidth="1"/>
    <col min="15" max="15" width="6.66666666666667" style="22" customWidth="1"/>
    <col min="16" max="16" width="5.5" style="22" customWidth="1"/>
    <col min="17" max="17" width="6.83333333333333" style="22" customWidth="1"/>
    <col min="18" max="18" width="10.8333333333333" style="22" customWidth="1"/>
    <col min="19" max="20" width="15.1666666666667" style="16" hidden="1" customWidth="1"/>
    <col min="21" max="21" width="10.1666666666667" style="16"/>
    <col min="22" max="23" width="9" style="16"/>
    <col min="24" max="24" width="14.3333333333333" style="16"/>
    <col min="25" max="29" width="9" style="16"/>
    <col min="30" max="30" width="14.3333333333333" style="16"/>
    <col min="31" max="31" width="9" style="16"/>
    <col min="32" max="32" width="10.1666666666667" style="16"/>
    <col min="33" max="16384" width="9" style="16"/>
  </cols>
  <sheetData>
    <row r="1" ht="33" customHeight="1" spans="1:18">
      <c r="A1" s="23" t="s">
        <v>0</v>
      </c>
      <c r="B1" s="24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ht="21" customHeight="1" spans="1:18">
      <c r="A2" s="26" t="s">
        <v>1</v>
      </c>
      <c r="B2" s="26"/>
      <c r="C2" s="26"/>
      <c r="D2" s="26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69" t="s">
        <v>2</v>
      </c>
      <c r="R2" s="70"/>
    </row>
    <row r="3" s="16" customFormat="1" ht="30" customHeight="1" spans="1:18">
      <c r="A3" s="28" t="s">
        <v>3</v>
      </c>
      <c r="B3" s="29" t="s">
        <v>4</v>
      </c>
      <c r="C3" s="28" t="s">
        <v>5</v>
      </c>
      <c r="D3" s="30"/>
      <c r="E3" s="30"/>
      <c r="F3" s="30"/>
      <c r="G3" s="30"/>
      <c r="H3" s="31" t="s">
        <v>6</v>
      </c>
      <c r="I3" s="55"/>
      <c r="J3" s="55"/>
      <c r="K3" s="55"/>
      <c r="L3" s="56"/>
      <c r="M3" s="57" t="s">
        <v>7</v>
      </c>
      <c r="N3" s="30"/>
      <c r="O3" s="28" t="s">
        <v>8</v>
      </c>
      <c r="P3" s="30"/>
      <c r="Q3" s="30"/>
      <c r="R3" s="28" t="s">
        <v>9</v>
      </c>
    </row>
    <row r="4" s="16" customFormat="1" ht="42" customHeight="1" spans="1:19">
      <c r="A4" s="30"/>
      <c r="B4" s="32"/>
      <c r="C4" s="28" t="s">
        <v>10</v>
      </c>
      <c r="D4" s="28" t="s">
        <v>11</v>
      </c>
      <c r="E4" s="28" t="s">
        <v>12</v>
      </c>
      <c r="F4" s="28" t="s">
        <v>13</v>
      </c>
      <c r="G4" s="28" t="s">
        <v>14</v>
      </c>
      <c r="H4" s="33" t="s">
        <v>10</v>
      </c>
      <c r="I4" s="33" t="s">
        <v>11</v>
      </c>
      <c r="J4" s="33" t="s">
        <v>12</v>
      </c>
      <c r="K4" s="33" t="s">
        <v>13</v>
      </c>
      <c r="L4" s="58" t="s">
        <v>15</v>
      </c>
      <c r="M4" s="59"/>
      <c r="N4" s="28" t="s">
        <v>16</v>
      </c>
      <c r="O4" s="28" t="s">
        <v>17</v>
      </c>
      <c r="P4" s="28" t="s">
        <v>18</v>
      </c>
      <c r="Q4" s="28" t="s">
        <v>19</v>
      </c>
      <c r="R4" s="36"/>
      <c r="S4" s="71"/>
    </row>
    <row r="5" s="17" customFormat="1" ht="25" customHeight="1" spans="1:21">
      <c r="A5" s="28" t="s">
        <v>20</v>
      </c>
      <c r="B5" s="34" t="s">
        <v>21</v>
      </c>
      <c r="C5" s="35">
        <f>SUM(C6:C7)</f>
        <v>4465.85</v>
      </c>
      <c r="D5" s="35"/>
      <c r="E5" s="36"/>
      <c r="F5" s="36"/>
      <c r="G5" s="35">
        <f>SUM(G6:G7)</f>
        <v>4465.85</v>
      </c>
      <c r="H5" s="35">
        <v>3971.3</v>
      </c>
      <c r="I5" s="35"/>
      <c r="J5" s="35"/>
      <c r="K5" s="35"/>
      <c r="L5" s="35">
        <v>4215.43</v>
      </c>
      <c r="M5" s="35">
        <f>L5-G5</f>
        <v>-250.42</v>
      </c>
      <c r="N5" s="60"/>
      <c r="O5" s="30"/>
      <c r="P5" s="35"/>
      <c r="Q5" s="35"/>
      <c r="R5" s="35">
        <f>L5/$L$38*100</f>
        <v>78.54</v>
      </c>
      <c r="T5" s="17">
        <f>G5-S5</f>
        <v>4465.85</v>
      </c>
      <c r="U5" s="72" t="e">
        <f>T5/S5</f>
        <v>#DIV/0!</v>
      </c>
    </row>
    <row r="6" s="17" customFormat="1" ht="25" customHeight="1" spans="1:18">
      <c r="A6" s="37">
        <v>1</v>
      </c>
      <c r="B6" s="38" t="s">
        <v>22</v>
      </c>
      <c r="C6" s="39">
        <v>4213.78</v>
      </c>
      <c r="D6" s="39"/>
      <c r="E6" s="36"/>
      <c r="F6" s="36"/>
      <c r="G6" s="39">
        <f>C6</f>
        <v>4213.78</v>
      </c>
      <c r="H6" s="39">
        <v>3971.3</v>
      </c>
      <c r="I6" s="39"/>
      <c r="J6" s="39"/>
      <c r="K6" s="39"/>
      <c r="L6" s="39">
        <v>3971.3</v>
      </c>
      <c r="M6" s="35">
        <f t="shared" ref="M6:M38" si="0">L6-G6</f>
        <v>-242.48</v>
      </c>
      <c r="N6" s="47"/>
      <c r="O6" s="40"/>
      <c r="P6" s="39"/>
      <c r="Q6" s="39"/>
      <c r="R6" s="35">
        <f t="shared" ref="R6:R38" si="1">L6/$L$38*100</f>
        <v>73.99</v>
      </c>
    </row>
    <row r="7" s="17" customFormat="1" ht="25" customHeight="1" spans="1:18">
      <c r="A7" s="37">
        <v>2</v>
      </c>
      <c r="B7" s="38" t="s">
        <v>23</v>
      </c>
      <c r="C7" s="39">
        <v>252.07</v>
      </c>
      <c r="D7" s="39"/>
      <c r="E7" s="36"/>
      <c r="F7" s="36"/>
      <c r="G7" s="39">
        <f>C7</f>
        <v>252.07</v>
      </c>
      <c r="H7" s="39"/>
      <c r="I7" s="39">
        <v>244.13</v>
      </c>
      <c r="J7" s="39"/>
      <c r="K7" s="39"/>
      <c r="L7" s="39">
        <v>244.13</v>
      </c>
      <c r="M7" s="35">
        <f t="shared" si="0"/>
        <v>-7.94</v>
      </c>
      <c r="N7" s="47"/>
      <c r="O7" s="40"/>
      <c r="P7" s="39"/>
      <c r="Q7" s="39"/>
      <c r="R7" s="35">
        <f t="shared" si="1"/>
        <v>4.55</v>
      </c>
    </row>
    <row r="8" s="17" customFormat="1" ht="25" customHeight="1" spans="1:18">
      <c r="A8" s="28" t="s">
        <v>24</v>
      </c>
      <c r="B8" s="34" t="s">
        <v>25</v>
      </c>
      <c r="C8" s="36"/>
      <c r="D8" s="36"/>
      <c r="E8" s="36"/>
      <c r="F8" s="35">
        <f>F9+F10</f>
        <v>820.81</v>
      </c>
      <c r="G8" s="35">
        <f>F8</f>
        <v>820.81</v>
      </c>
      <c r="H8" s="35"/>
      <c r="I8" s="35"/>
      <c r="J8" s="35"/>
      <c r="K8" s="35">
        <v>896.37</v>
      </c>
      <c r="L8" s="35">
        <v>896.37</v>
      </c>
      <c r="M8" s="35">
        <f t="shared" si="0"/>
        <v>75.56</v>
      </c>
      <c r="N8" s="35"/>
      <c r="O8" s="35"/>
      <c r="P8" s="35"/>
      <c r="Q8" s="35"/>
      <c r="R8" s="35">
        <f t="shared" si="1"/>
        <v>16.7</v>
      </c>
    </row>
    <row r="9" s="17" customFormat="1" ht="25" customHeight="1" spans="1:18">
      <c r="A9" s="40" t="s">
        <v>26</v>
      </c>
      <c r="B9" s="34" t="s">
        <v>27</v>
      </c>
      <c r="C9" s="36"/>
      <c r="D9" s="36"/>
      <c r="E9" s="36"/>
      <c r="F9" s="35">
        <v>0</v>
      </c>
      <c r="G9" s="35">
        <f>F9</f>
        <v>0</v>
      </c>
      <c r="H9" s="35"/>
      <c r="I9" s="35"/>
      <c r="J9" s="35"/>
      <c r="K9" s="35">
        <v>0</v>
      </c>
      <c r="L9" s="35">
        <v>0</v>
      </c>
      <c r="M9" s="35">
        <f t="shared" si="0"/>
        <v>0</v>
      </c>
      <c r="N9" s="61"/>
      <c r="O9" s="62"/>
      <c r="P9" s="62"/>
      <c r="Q9" s="62"/>
      <c r="R9" s="35">
        <f t="shared" si="1"/>
        <v>0</v>
      </c>
    </row>
    <row r="10" s="17" customFormat="1" ht="25" customHeight="1" spans="1:18">
      <c r="A10" s="40" t="s">
        <v>28</v>
      </c>
      <c r="B10" s="34" t="s">
        <v>29</v>
      </c>
      <c r="C10" s="36"/>
      <c r="D10" s="36"/>
      <c r="E10" s="36"/>
      <c r="F10" s="35">
        <f>SUM(F11:F16,F24:F26,F30:F33)</f>
        <v>820.81</v>
      </c>
      <c r="G10" s="35">
        <f>F10</f>
        <v>820.81</v>
      </c>
      <c r="H10" s="35"/>
      <c r="I10" s="35"/>
      <c r="J10" s="35"/>
      <c r="K10" s="35">
        <v>896.37</v>
      </c>
      <c r="L10" s="35">
        <v>896.37</v>
      </c>
      <c r="M10" s="35">
        <f t="shared" si="0"/>
        <v>75.56</v>
      </c>
      <c r="N10" s="39"/>
      <c r="O10" s="39"/>
      <c r="P10" s="39"/>
      <c r="Q10" s="39"/>
      <c r="R10" s="35">
        <f t="shared" si="1"/>
        <v>16.7</v>
      </c>
    </row>
    <row r="11" s="18" customFormat="1" ht="25" customHeight="1" spans="1:18">
      <c r="A11" s="41">
        <v>1</v>
      </c>
      <c r="B11" s="38" t="s">
        <v>30</v>
      </c>
      <c r="C11" s="39"/>
      <c r="D11" s="39"/>
      <c r="E11" s="36"/>
      <c r="F11" s="36">
        <f>G5*0.5%</f>
        <v>22.33</v>
      </c>
      <c r="G11" s="39">
        <f>SUM(C11:F11)</f>
        <v>22.33</v>
      </c>
      <c r="H11" s="39"/>
      <c r="I11" s="39"/>
      <c r="J11" s="39"/>
      <c r="K11" s="39">
        <v>0</v>
      </c>
      <c r="L11" s="39">
        <v>0</v>
      </c>
      <c r="M11" s="35">
        <f t="shared" si="0"/>
        <v>-22.33</v>
      </c>
      <c r="N11" s="63" t="s">
        <v>31</v>
      </c>
      <c r="O11" s="63"/>
      <c r="P11" s="63"/>
      <c r="Q11" s="63"/>
      <c r="R11" s="35">
        <f t="shared" si="1"/>
        <v>0</v>
      </c>
    </row>
    <row r="12" s="18" customFormat="1" ht="25" customHeight="1" spans="1:20">
      <c r="A12" s="41">
        <v>2</v>
      </c>
      <c r="B12" s="38" t="s">
        <v>32</v>
      </c>
      <c r="C12" s="39"/>
      <c r="D12" s="36"/>
      <c r="E12" s="36"/>
      <c r="F12" s="36">
        <v>72.13</v>
      </c>
      <c r="G12" s="39">
        <f t="shared" ref="G12:G20" si="2">F12</f>
        <v>72.13</v>
      </c>
      <c r="H12" s="39"/>
      <c r="I12" s="39"/>
      <c r="J12" s="39"/>
      <c r="K12" s="39">
        <v>68.23</v>
      </c>
      <c r="L12" s="39">
        <v>68.23</v>
      </c>
      <c r="M12" s="35">
        <f t="shared" si="0"/>
        <v>-3.9</v>
      </c>
      <c r="N12" s="63" t="s">
        <v>31</v>
      </c>
      <c r="O12" s="63"/>
      <c r="P12" s="63"/>
      <c r="Q12" s="63"/>
      <c r="R12" s="35">
        <f t="shared" si="1"/>
        <v>1.27</v>
      </c>
      <c r="S12" s="18">
        <f>G38-1000</f>
        <v>4550.99</v>
      </c>
      <c r="T12" s="18">
        <f>20+(S12-1000)*1.5%</f>
        <v>73.26</v>
      </c>
    </row>
    <row r="13" s="18" customFormat="1" ht="25" customHeight="1" spans="1:18">
      <c r="A13" s="41">
        <v>3</v>
      </c>
      <c r="B13" s="38" t="s">
        <v>33</v>
      </c>
      <c r="C13" s="39"/>
      <c r="D13" s="36"/>
      <c r="E13" s="36"/>
      <c r="F13" s="36">
        <f>(66.55+(102.9-66.55)/2000*(G5-3000))</f>
        <v>93.19</v>
      </c>
      <c r="G13" s="39">
        <f t="shared" si="2"/>
        <v>93.19</v>
      </c>
      <c r="H13" s="42"/>
      <c r="I13" s="42"/>
      <c r="J13" s="42"/>
      <c r="K13" s="42">
        <v>85.4</v>
      </c>
      <c r="L13" s="42">
        <v>85.4</v>
      </c>
      <c r="M13" s="35">
        <f t="shared" si="0"/>
        <v>-7.79</v>
      </c>
      <c r="N13" s="64" t="s">
        <v>31</v>
      </c>
      <c r="O13" s="65"/>
      <c r="P13" s="65"/>
      <c r="Q13" s="73"/>
      <c r="R13" s="35">
        <f t="shared" si="1"/>
        <v>1.59</v>
      </c>
    </row>
    <row r="14" s="18" customFormat="1" ht="25" customHeight="1" spans="1:18">
      <c r="A14" s="41">
        <v>4</v>
      </c>
      <c r="B14" s="38" t="s">
        <v>34</v>
      </c>
      <c r="C14" s="39"/>
      <c r="D14" s="36"/>
      <c r="E14" s="36"/>
      <c r="F14" s="43">
        <f>(100*0.85%+400*0.595%+500*0.4725%+(G5-1000)*0.2975%)</f>
        <v>15.9</v>
      </c>
      <c r="G14" s="39">
        <f t="shared" si="2"/>
        <v>15.9</v>
      </c>
      <c r="H14" s="42"/>
      <c r="I14" s="42"/>
      <c r="J14" s="42"/>
      <c r="K14" s="42">
        <v>0</v>
      </c>
      <c r="L14" s="42">
        <v>0</v>
      </c>
      <c r="M14" s="35">
        <f t="shared" si="0"/>
        <v>-15.9</v>
      </c>
      <c r="N14" s="64" t="s">
        <v>31</v>
      </c>
      <c r="O14" s="65"/>
      <c r="P14" s="65"/>
      <c r="Q14" s="73"/>
      <c r="R14" s="35">
        <f t="shared" si="1"/>
        <v>0</v>
      </c>
    </row>
    <row r="15" s="18" customFormat="1" ht="25" customHeight="1" spans="1:18">
      <c r="A15" s="41">
        <v>6</v>
      </c>
      <c r="B15" s="38" t="s">
        <v>35</v>
      </c>
      <c r="C15" s="39"/>
      <c r="D15" s="36"/>
      <c r="E15" s="36"/>
      <c r="F15" s="36">
        <f>G5*0.17%*0.3</f>
        <v>2.28</v>
      </c>
      <c r="G15" s="39">
        <f t="shared" si="2"/>
        <v>2.28</v>
      </c>
      <c r="H15" s="42"/>
      <c r="I15" s="42"/>
      <c r="J15" s="42"/>
      <c r="K15" s="42">
        <v>0</v>
      </c>
      <c r="L15" s="42">
        <v>0</v>
      </c>
      <c r="M15" s="35">
        <f t="shared" si="0"/>
        <v>-2.28</v>
      </c>
      <c r="N15" s="64" t="s">
        <v>31</v>
      </c>
      <c r="O15" s="65"/>
      <c r="P15" s="65"/>
      <c r="Q15" s="73"/>
      <c r="R15" s="35">
        <f t="shared" si="1"/>
        <v>0</v>
      </c>
    </row>
    <row r="16" s="18" customFormat="1" ht="25" customHeight="1" spans="1:18">
      <c r="A16" s="41">
        <v>7</v>
      </c>
      <c r="B16" s="38" t="s">
        <v>36</v>
      </c>
      <c r="C16" s="39"/>
      <c r="D16" s="39"/>
      <c r="E16" s="36"/>
      <c r="F16" s="36">
        <f>SUM(F17:F20)</f>
        <v>34.59</v>
      </c>
      <c r="G16" s="39">
        <f t="shared" si="2"/>
        <v>34.59</v>
      </c>
      <c r="H16" s="42"/>
      <c r="I16" s="42"/>
      <c r="J16" s="42"/>
      <c r="K16" s="42">
        <v>255.13</v>
      </c>
      <c r="L16" s="42">
        <v>255.13</v>
      </c>
      <c r="M16" s="35">
        <f t="shared" si="0"/>
        <v>220.54</v>
      </c>
      <c r="N16" s="64" t="s">
        <v>31</v>
      </c>
      <c r="O16" s="65"/>
      <c r="P16" s="65"/>
      <c r="Q16" s="73"/>
      <c r="R16" s="35">
        <f t="shared" si="1"/>
        <v>4.75</v>
      </c>
    </row>
    <row r="17" s="18" customFormat="1" ht="25" customHeight="1" spans="1:20">
      <c r="A17" s="44">
        <v>7.1</v>
      </c>
      <c r="B17" s="38" t="s">
        <v>37</v>
      </c>
      <c r="C17" s="39"/>
      <c r="D17" s="39"/>
      <c r="E17" s="36"/>
      <c r="F17" s="36">
        <f>13.5+(30-13.5)/7000*(G5-3000)</f>
        <v>16.96</v>
      </c>
      <c r="G17" s="39">
        <f t="shared" si="2"/>
        <v>16.96</v>
      </c>
      <c r="H17" s="42"/>
      <c r="I17" s="42"/>
      <c r="J17" s="42"/>
      <c r="K17" s="42">
        <v>8.02</v>
      </c>
      <c r="L17" s="42">
        <v>8.02</v>
      </c>
      <c r="M17" s="35">
        <f t="shared" si="0"/>
        <v>-8.94</v>
      </c>
      <c r="N17" s="64" t="s">
        <v>38</v>
      </c>
      <c r="O17" s="65"/>
      <c r="P17" s="65"/>
      <c r="Q17" s="73"/>
      <c r="R17" s="35">
        <f t="shared" si="1"/>
        <v>0.15</v>
      </c>
      <c r="S17" s="74"/>
      <c r="T17" s="18">
        <f>(120.8-85)/2+85.5</f>
        <v>103.4</v>
      </c>
    </row>
    <row r="18" s="18" customFormat="1" ht="25" customHeight="1" spans="1:18">
      <c r="A18" s="44">
        <v>7.2</v>
      </c>
      <c r="B18" s="38" t="s">
        <v>39</v>
      </c>
      <c r="C18" s="39"/>
      <c r="D18" s="39"/>
      <c r="E18" s="36"/>
      <c r="F18" s="36">
        <v>5</v>
      </c>
      <c r="G18" s="39">
        <f t="shared" si="2"/>
        <v>5</v>
      </c>
      <c r="H18" s="42"/>
      <c r="I18" s="42"/>
      <c r="J18" s="42"/>
      <c r="K18" s="42">
        <v>0</v>
      </c>
      <c r="L18" s="42">
        <v>0</v>
      </c>
      <c r="M18" s="35">
        <f t="shared" si="0"/>
        <v>-5</v>
      </c>
      <c r="N18" s="64" t="s">
        <v>40</v>
      </c>
      <c r="O18" s="65"/>
      <c r="P18" s="65"/>
      <c r="Q18" s="73"/>
      <c r="R18" s="35">
        <f t="shared" si="1"/>
        <v>0</v>
      </c>
    </row>
    <row r="19" s="18" customFormat="1" ht="25" customHeight="1" spans="1:21">
      <c r="A19" s="44">
        <v>7.3</v>
      </c>
      <c r="B19" s="38" t="s">
        <v>41</v>
      </c>
      <c r="C19" s="39"/>
      <c r="D19" s="39"/>
      <c r="E19" s="36"/>
      <c r="F19" s="36">
        <v>5</v>
      </c>
      <c r="G19" s="39">
        <f t="shared" si="2"/>
        <v>5</v>
      </c>
      <c r="H19" s="42"/>
      <c r="I19" s="42"/>
      <c r="J19" s="42"/>
      <c r="K19" s="42">
        <v>0</v>
      </c>
      <c r="L19" s="42">
        <v>0</v>
      </c>
      <c r="M19" s="35">
        <f t="shared" si="0"/>
        <v>-5</v>
      </c>
      <c r="N19" s="64" t="s">
        <v>40</v>
      </c>
      <c r="O19" s="65"/>
      <c r="P19" s="65"/>
      <c r="Q19" s="73"/>
      <c r="R19" s="66">
        <f t="shared" si="1"/>
        <v>0</v>
      </c>
      <c r="S19" s="65"/>
      <c r="T19" s="65"/>
      <c r="U19" s="73"/>
    </row>
    <row r="20" s="18" customFormat="1" ht="25" customHeight="1" spans="1:18">
      <c r="A20" s="44">
        <v>7.4</v>
      </c>
      <c r="B20" s="38" t="s">
        <v>42</v>
      </c>
      <c r="C20" s="39"/>
      <c r="D20" s="39"/>
      <c r="E20" s="36"/>
      <c r="F20" s="36">
        <f>F17*30%*1.5</f>
        <v>7.63</v>
      </c>
      <c r="G20" s="39">
        <f t="shared" si="2"/>
        <v>7.63</v>
      </c>
      <c r="H20" s="42"/>
      <c r="I20" s="42"/>
      <c r="J20" s="42"/>
      <c r="K20" s="42">
        <v>0</v>
      </c>
      <c r="L20" s="42">
        <v>0</v>
      </c>
      <c r="M20" s="35">
        <f t="shared" si="0"/>
        <v>-7.63</v>
      </c>
      <c r="N20" s="66" t="s">
        <v>40</v>
      </c>
      <c r="O20" s="65"/>
      <c r="P20" s="65"/>
      <c r="Q20" s="73"/>
      <c r="R20" s="35">
        <f t="shared" si="1"/>
        <v>0</v>
      </c>
    </row>
    <row r="21" s="18" customFormat="1" ht="25" customHeight="1" spans="1:18">
      <c r="A21" s="44">
        <v>7.5</v>
      </c>
      <c r="B21" s="38" t="s">
        <v>43</v>
      </c>
      <c r="C21" s="39"/>
      <c r="D21" s="39"/>
      <c r="E21" s="36"/>
      <c r="F21" s="36"/>
      <c r="G21" s="39"/>
      <c r="H21" s="42"/>
      <c r="I21" s="42"/>
      <c r="J21" s="42"/>
      <c r="K21" s="42">
        <v>29.69</v>
      </c>
      <c r="L21" s="42">
        <v>29.69</v>
      </c>
      <c r="M21" s="35">
        <f t="shared" si="0"/>
        <v>29.69</v>
      </c>
      <c r="N21" s="64" t="s">
        <v>38</v>
      </c>
      <c r="O21" s="65"/>
      <c r="P21" s="65"/>
      <c r="Q21" s="73"/>
      <c r="R21" s="35">
        <f t="shared" si="1"/>
        <v>0.55</v>
      </c>
    </row>
    <row r="22" s="18" customFormat="1" ht="25" customHeight="1" spans="1:18">
      <c r="A22" s="44">
        <v>7.6</v>
      </c>
      <c r="B22" s="38" t="s">
        <v>44</v>
      </c>
      <c r="C22" s="39"/>
      <c r="D22" s="39"/>
      <c r="E22" s="36"/>
      <c r="F22" s="36"/>
      <c r="G22" s="39"/>
      <c r="H22" s="42"/>
      <c r="I22" s="42"/>
      <c r="J22" s="42"/>
      <c r="K22" s="42">
        <v>71.81</v>
      </c>
      <c r="L22" s="42">
        <v>71.81</v>
      </c>
      <c r="M22" s="35">
        <f t="shared" si="0"/>
        <v>71.81</v>
      </c>
      <c r="N22" s="64" t="s">
        <v>38</v>
      </c>
      <c r="O22" s="65"/>
      <c r="P22" s="65"/>
      <c r="Q22" s="73"/>
      <c r="R22" s="35">
        <f t="shared" si="1"/>
        <v>1.34</v>
      </c>
    </row>
    <row r="23" s="18" customFormat="1" ht="25" customHeight="1" spans="1:18">
      <c r="A23" s="44">
        <v>7.7</v>
      </c>
      <c r="B23" s="38" t="s">
        <v>45</v>
      </c>
      <c r="C23" s="39"/>
      <c r="D23" s="39"/>
      <c r="E23" s="36"/>
      <c r="F23" s="36"/>
      <c r="G23" s="39"/>
      <c r="H23" s="42"/>
      <c r="I23" s="42"/>
      <c r="J23" s="42"/>
      <c r="K23" s="42">
        <v>145.61</v>
      </c>
      <c r="L23" s="42">
        <v>145.61</v>
      </c>
      <c r="M23" s="35">
        <f t="shared" si="0"/>
        <v>145.61</v>
      </c>
      <c r="N23" s="64" t="s">
        <v>38</v>
      </c>
      <c r="O23" s="65"/>
      <c r="P23" s="65"/>
      <c r="Q23" s="73"/>
      <c r="R23" s="35">
        <f t="shared" si="1"/>
        <v>2.71</v>
      </c>
    </row>
    <row r="24" s="18" customFormat="1" ht="25" customHeight="1" spans="1:18">
      <c r="A24" s="41">
        <v>8</v>
      </c>
      <c r="B24" s="38" t="s">
        <v>46</v>
      </c>
      <c r="C24" s="39"/>
      <c r="D24" s="39"/>
      <c r="E24" s="36"/>
      <c r="F24" s="43">
        <f>G5*0.8%</f>
        <v>35.73</v>
      </c>
      <c r="G24" s="39">
        <f t="shared" ref="G24:G35" si="3">F24</f>
        <v>35.73</v>
      </c>
      <c r="H24" s="42"/>
      <c r="I24" s="42"/>
      <c r="J24" s="42"/>
      <c r="K24" s="42">
        <v>80.99</v>
      </c>
      <c r="L24" s="42">
        <v>80.99</v>
      </c>
      <c r="M24" s="35">
        <f t="shared" si="0"/>
        <v>45.26</v>
      </c>
      <c r="N24" s="64" t="s">
        <v>38</v>
      </c>
      <c r="O24" s="65"/>
      <c r="P24" s="65"/>
      <c r="Q24" s="73"/>
      <c r="R24" s="35">
        <f t="shared" si="1"/>
        <v>1.51</v>
      </c>
    </row>
    <row r="25" s="18" customFormat="1" ht="25" customHeight="1" spans="1:18">
      <c r="A25" s="41">
        <v>9</v>
      </c>
      <c r="B25" s="38" t="s">
        <v>47</v>
      </c>
      <c r="C25" s="39"/>
      <c r="D25" s="36"/>
      <c r="E25" s="36"/>
      <c r="F25" s="36">
        <f>G5*3.25%</f>
        <v>145.14</v>
      </c>
      <c r="G25" s="39">
        <f t="shared" si="3"/>
        <v>145.14</v>
      </c>
      <c r="H25" s="42"/>
      <c r="I25" s="42"/>
      <c r="J25" s="42"/>
      <c r="K25" s="42">
        <v>130.6</v>
      </c>
      <c r="L25" s="42">
        <v>130.6</v>
      </c>
      <c r="M25" s="35">
        <f t="shared" si="0"/>
        <v>-14.54</v>
      </c>
      <c r="N25" s="64" t="s">
        <v>38</v>
      </c>
      <c r="O25" s="65"/>
      <c r="P25" s="65"/>
      <c r="Q25" s="73"/>
      <c r="R25" s="35">
        <f t="shared" si="1"/>
        <v>2.43</v>
      </c>
    </row>
    <row r="26" s="18" customFormat="1" ht="25" customHeight="1" spans="1:18">
      <c r="A26" s="41">
        <v>10</v>
      </c>
      <c r="B26" s="38" t="s">
        <v>48</v>
      </c>
      <c r="C26" s="39"/>
      <c r="D26" s="39"/>
      <c r="E26" s="36"/>
      <c r="F26" s="36">
        <f>SUM(F27:F29)</f>
        <v>82.44</v>
      </c>
      <c r="G26" s="39">
        <f t="shared" si="3"/>
        <v>82.44</v>
      </c>
      <c r="H26" s="42"/>
      <c r="I26" s="42"/>
      <c r="J26" s="42"/>
      <c r="K26" s="42">
        <v>64.79</v>
      </c>
      <c r="L26" s="42">
        <v>64.79</v>
      </c>
      <c r="M26" s="35">
        <f t="shared" si="0"/>
        <v>-17.65</v>
      </c>
      <c r="N26" s="64" t="s">
        <v>31</v>
      </c>
      <c r="O26" s="65"/>
      <c r="P26" s="65"/>
      <c r="Q26" s="73"/>
      <c r="R26" s="35">
        <f t="shared" si="1"/>
        <v>1.21</v>
      </c>
    </row>
    <row r="27" s="18" customFormat="1" ht="34" customHeight="1" spans="1:18">
      <c r="A27" s="44">
        <v>10.1</v>
      </c>
      <c r="B27" s="38" t="s">
        <v>49</v>
      </c>
      <c r="C27" s="39"/>
      <c r="D27" s="39"/>
      <c r="E27" s="36"/>
      <c r="F27" s="36">
        <f>F25*15%</f>
        <v>21.77</v>
      </c>
      <c r="G27" s="39">
        <f t="shared" si="3"/>
        <v>21.77</v>
      </c>
      <c r="H27" s="42"/>
      <c r="I27" s="42"/>
      <c r="J27" s="42"/>
      <c r="K27" s="42">
        <v>7.17</v>
      </c>
      <c r="L27" s="42">
        <v>7.17</v>
      </c>
      <c r="M27" s="35">
        <f t="shared" si="0"/>
        <v>-14.6</v>
      </c>
      <c r="N27" s="64"/>
      <c r="O27" s="65"/>
      <c r="P27" s="65"/>
      <c r="Q27" s="73"/>
      <c r="R27" s="35">
        <f t="shared" si="1"/>
        <v>0.13</v>
      </c>
    </row>
    <row r="28" s="18" customFormat="1" ht="33" customHeight="1" spans="1:18">
      <c r="A28" s="44">
        <v>10.2</v>
      </c>
      <c r="B28" s="38" t="s">
        <v>50</v>
      </c>
      <c r="C28" s="39"/>
      <c r="D28" s="39"/>
      <c r="E28" s="36"/>
      <c r="F28" s="45">
        <f>((500*0.35%+500*0.32%+(G5-1000)*0.24%))*2</f>
        <v>23.34</v>
      </c>
      <c r="G28" s="39">
        <f t="shared" si="3"/>
        <v>23.34</v>
      </c>
      <c r="H28" s="42"/>
      <c r="I28" s="42"/>
      <c r="J28" s="42"/>
      <c r="K28" s="42">
        <v>22.3</v>
      </c>
      <c r="L28" s="42">
        <v>22.3</v>
      </c>
      <c r="M28" s="35">
        <f t="shared" si="0"/>
        <v>-1.04</v>
      </c>
      <c r="N28" s="42"/>
      <c r="O28" s="67"/>
      <c r="P28" s="67"/>
      <c r="Q28" s="75"/>
      <c r="R28" s="35">
        <f t="shared" si="1"/>
        <v>0.42</v>
      </c>
    </row>
    <row r="29" s="18" customFormat="1" ht="34" customHeight="1" spans="1:18">
      <c r="A29" s="44">
        <v>10.3</v>
      </c>
      <c r="B29" s="38" t="s">
        <v>51</v>
      </c>
      <c r="C29" s="39"/>
      <c r="D29" s="39"/>
      <c r="E29" s="36"/>
      <c r="F29" s="45">
        <f>((500*1.04%+500*0.88%+(G5-1000)*0.8%))</f>
        <v>37.33</v>
      </c>
      <c r="G29" s="39">
        <f t="shared" si="3"/>
        <v>37.33</v>
      </c>
      <c r="H29" s="42"/>
      <c r="I29" s="42"/>
      <c r="J29" s="42"/>
      <c r="K29" s="42">
        <v>35.32</v>
      </c>
      <c r="L29" s="42">
        <v>35.32</v>
      </c>
      <c r="M29" s="35">
        <f t="shared" si="0"/>
        <v>-2.01</v>
      </c>
      <c r="N29" s="42"/>
      <c r="O29" s="67"/>
      <c r="P29" s="67"/>
      <c r="Q29" s="75"/>
      <c r="R29" s="35">
        <f t="shared" si="1"/>
        <v>0.66</v>
      </c>
    </row>
    <row r="30" s="18" customFormat="1" ht="25" customHeight="1" spans="1:18">
      <c r="A30" s="41">
        <v>11</v>
      </c>
      <c r="B30" s="38" t="s">
        <v>52</v>
      </c>
      <c r="C30" s="39"/>
      <c r="D30" s="39"/>
      <c r="E30" s="36"/>
      <c r="F30" s="36">
        <f>G5*0.3%</f>
        <v>13.4</v>
      </c>
      <c r="G30" s="39">
        <f t="shared" si="3"/>
        <v>13.4</v>
      </c>
      <c r="H30" s="42"/>
      <c r="I30" s="42"/>
      <c r="J30" s="42"/>
      <c r="K30" s="42">
        <v>12.65</v>
      </c>
      <c r="L30" s="42">
        <v>12.65</v>
      </c>
      <c r="M30" s="35">
        <f t="shared" si="0"/>
        <v>-0.75</v>
      </c>
      <c r="N30" s="64" t="s">
        <v>31</v>
      </c>
      <c r="O30" s="65"/>
      <c r="P30" s="65"/>
      <c r="Q30" s="73"/>
      <c r="R30" s="35">
        <f t="shared" si="1"/>
        <v>0.24</v>
      </c>
    </row>
    <row r="31" s="18" customFormat="1" ht="25" customHeight="1" spans="1:18">
      <c r="A31" s="41">
        <v>12</v>
      </c>
      <c r="B31" s="38" t="s">
        <v>53</v>
      </c>
      <c r="C31" s="39"/>
      <c r="D31" s="39"/>
      <c r="E31" s="36"/>
      <c r="F31" s="36">
        <f>(G5)*0.75%</f>
        <v>33.49</v>
      </c>
      <c r="G31" s="39">
        <f t="shared" si="3"/>
        <v>33.49</v>
      </c>
      <c r="H31" s="42"/>
      <c r="I31" s="42"/>
      <c r="J31" s="42"/>
      <c r="K31" s="42">
        <v>21.08</v>
      </c>
      <c r="L31" s="42">
        <v>21.08</v>
      </c>
      <c r="M31" s="35">
        <f t="shared" si="0"/>
        <v>-12.41</v>
      </c>
      <c r="N31" s="64" t="s">
        <v>31</v>
      </c>
      <c r="O31" s="65"/>
      <c r="P31" s="65"/>
      <c r="Q31" s="73"/>
      <c r="R31" s="35">
        <f t="shared" si="1"/>
        <v>0.39</v>
      </c>
    </row>
    <row r="32" s="18" customFormat="1" ht="25" customHeight="1" spans="1:19">
      <c r="A32" s="41">
        <v>13</v>
      </c>
      <c r="B32" s="38" t="s">
        <v>54</v>
      </c>
      <c r="C32" s="39"/>
      <c r="D32" s="39"/>
      <c r="E32" s="36"/>
      <c r="F32" s="36">
        <f>S33*0.5/10000</f>
        <v>3.94</v>
      </c>
      <c r="G32" s="39">
        <f t="shared" si="3"/>
        <v>3.94</v>
      </c>
      <c r="H32" s="42"/>
      <c r="I32" s="42"/>
      <c r="J32" s="42"/>
      <c r="K32" s="42">
        <v>0</v>
      </c>
      <c r="L32" s="42">
        <v>0</v>
      </c>
      <c r="M32" s="35">
        <f t="shared" si="0"/>
        <v>-3.94</v>
      </c>
      <c r="N32" s="64" t="s">
        <v>31</v>
      </c>
      <c r="O32" s="65"/>
      <c r="P32" s="65"/>
      <c r="Q32" s="73"/>
      <c r="R32" s="35">
        <f t="shared" si="1"/>
        <v>0</v>
      </c>
      <c r="S32" s="76"/>
    </row>
    <row r="33" s="18" customFormat="1" ht="34" customHeight="1" spans="1:19">
      <c r="A33" s="41">
        <v>14</v>
      </c>
      <c r="B33" s="38" t="s">
        <v>55</v>
      </c>
      <c r="C33" s="39"/>
      <c r="D33" s="39"/>
      <c r="E33" s="36"/>
      <c r="F33" s="36">
        <f>2000*355/10000*1.25*3</f>
        <v>266.25</v>
      </c>
      <c r="G33" s="39">
        <f t="shared" si="3"/>
        <v>266.25</v>
      </c>
      <c r="H33" s="42"/>
      <c r="I33" s="42"/>
      <c r="J33" s="42"/>
      <c r="K33" s="42">
        <v>177.5</v>
      </c>
      <c r="L33" s="42">
        <v>177.5</v>
      </c>
      <c r="M33" s="35">
        <f t="shared" si="0"/>
        <v>-88.75</v>
      </c>
      <c r="N33" s="66" t="s">
        <v>56</v>
      </c>
      <c r="O33" s="65"/>
      <c r="P33" s="65"/>
      <c r="Q33" s="73"/>
      <c r="R33" s="35">
        <f t="shared" si="1"/>
        <v>3.31</v>
      </c>
      <c r="S33" s="76">
        <v>78748</v>
      </c>
    </row>
    <row r="34" s="17" customFormat="1" ht="25" customHeight="1" spans="1:18">
      <c r="A34" s="28" t="s">
        <v>57</v>
      </c>
      <c r="B34" s="34" t="s">
        <v>58</v>
      </c>
      <c r="C34" s="36"/>
      <c r="D34" s="36"/>
      <c r="E34" s="36"/>
      <c r="F34" s="35">
        <f>F35</f>
        <v>264.33</v>
      </c>
      <c r="G34" s="35">
        <f t="shared" si="3"/>
        <v>264.33</v>
      </c>
      <c r="H34" s="46"/>
      <c r="I34" s="46"/>
      <c r="J34" s="46"/>
      <c r="K34" s="46">
        <v>255.59</v>
      </c>
      <c r="L34" s="46">
        <v>255.59</v>
      </c>
      <c r="M34" s="35">
        <f t="shared" si="0"/>
        <v>-8.74</v>
      </c>
      <c r="N34" s="46"/>
      <c r="O34" s="68"/>
      <c r="P34" s="68"/>
      <c r="Q34" s="77"/>
      <c r="R34" s="35">
        <f t="shared" si="1"/>
        <v>4.76</v>
      </c>
    </row>
    <row r="35" s="18" customFormat="1" ht="25" customHeight="1" spans="1:18">
      <c r="A35" s="47" t="s">
        <v>26</v>
      </c>
      <c r="B35" s="38" t="s">
        <v>59</v>
      </c>
      <c r="C35" s="39"/>
      <c r="D35" s="36"/>
      <c r="E35" s="36"/>
      <c r="F35" s="36">
        <f>(G5+G8)*5%</f>
        <v>264.33</v>
      </c>
      <c r="G35" s="39">
        <f t="shared" si="3"/>
        <v>264.33</v>
      </c>
      <c r="H35" s="42"/>
      <c r="I35" s="42"/>
      <c r="J35" s="42"/>
      <c r="K35" s="42">
        <v>255.59</v>
      </c>
      <c r="L35" s="42">
        <v>255.59</v>
      </c>
      <c r="M35" s="35">
        <f t="shared" si="0"/>
        <v>-8.74</v>
      </c>
      <c r="N35" s="64" t="s">
        <v>60</v>
      </c>
      <c r="O35" s="65"/>
      <c r="P35" s="65"/>
      <c r="Q35" s="73"/>
      <c r="R35" s="35">
        <f t="shared" si="1"/>
        <v>4.76</v>
      </c>
    </row>
    <row r="36" s="19" customFormat="1" ht="25" customHeight="1" spans="1:19">
      <c r="A36" s="35"/>
      <c r="B36" s="34" t="s">
        <v>61</v>
      </c>
      <c r="C36" s="35"/>
      <c r="D36" s="48"/>
      <c r="E36" s="48"/>
      <c r="F36" s="35">
        <f>G36</f>
        <v>5550.99</v>
      </c>
      <c r="G36" s="35">
        <f>G5+G8+G34</f>
        <v>5550.99</v>
      </c>
      <c r="H36" s="46"/>
      <c r="I36" s="46"/>
      <c r="J36" s="46"/>
      <c r="K36" s="46">
        <v>5367.39</v>
      </c>
      <c r="L36" s="46">
        <v>5367.39</v>
      </c>
      <c r="M36" s="35">
        <f t="shared" si="0"/>
        <v>-183.6</v>
      </c>
      <c r="N36" s="46"/>
      <c r="O36" s="68"/>
      <c r="P36" s="68"/>
      <c r="Q36" s="77"/>
      <c r="R36" s="35">
        <f t="shared" si="1"/>
        <v>100</v>
      </c>
      <c r="S36" s="19">
        <v>9603</v>
      </c>
    </row>
    <row r="37" s="17" customFormat="1" ht="25" customHeight="1" spans="1:19">
      <c r="A37" s="28" t="s">
        <v>62</v>
      </c>
      <c r="B37" s="34" t="s">
        <v>63</v>
      </c>
      <c r="C37" s="36"/>
      <c r="D37" s="36"/>
      <c r="E37" s="36"/>
      <c r="F37" s="35">
        <v>0</v>
      </c>
      <c r="G37" s="35">
        <f>F37</f>
        <v>0</v>
      </c>
      <c r="H37" s="46"/>
      <c r="I37" s="46"/>
      <c r="J37" s="46"/>
      <c r="K37" s="46">
        <v>0</v>
      </c>
      <c r="L37" s="46">
        <v>0</v>
      </c>
      <c r="M37" s="35">
        <f t="shared" si="0"/>
        <v>0</v>
      </c>
      <c r="N37" s="66" t="s">
        <v>64</v>
      </c>
      <c r="O37" s="65"/>
      <c r="P37" s="65"/>
      <c r="Q37" s="73"/>
      <c r="R37" s="35">
        <f t="shared" si="1"/>
        <v>0</v>
      </c>
      <c r="S37" s="78">
        <f>G36/S36</f>
        <v>0.578</v>
      </c>
    </row>
    <row r="38" s="17" customFormat="1" ht="25" customHeight="1" spans="1:21">
      <c r="A38" s="28" t="s">
        <v>65</v>
      </c>
      <c r="B38" s="34" t="s">
        <v>66</v>
      </c>
      <c r="C38" s="36"/>
      <c r="D38" s="36"/>
      <c r="E38" s="36"/>
      <c r="F38" s="35">
        <f>G38</f>
        <v>5550.99</v>
      </c>
      <c r="G38" s="35">
        <f>G36+G37</f>
        <v>5550.99</v>
      </c>
      <c r="H38" s="46"/>
      <c r="I38" s="46"/>
      <c r="J38" s="46"/>
      <c r="K38" s="46">
        <v>5367.39</v>
      </c>
      <c r="L38" s="46">
        <v>5367.39</v>
      </c>
      <c r="M38" s="35">
        <f t="shared" si="0"/>
        <v>-183.6</v>
      </c>
      <c r="N38" s="66" t="s">
        <v>67</v>
      </c>
      <c r="O38" s="65"/>
      <c r="P38" s="65"/>
      <c r="Q38" s="73"/>
      <c r="R38" s="35">
        <f t="shared" si="1"/>
        <v>100</v>
      </c>
      <c r="S38" s="17">
        <f>400*0.22</f>
        <v>88</v>
      </c>
      <c r="U38" s="78">
        <f>M38/F38</f>
        <v>-0.0331</v>
      </c>
    </row>
    <row r="39" s="17" customFormat="1" ht="25" customHeight="1" spans="1:18">
      <c r="A39" s="20"/>
      <c r="B39" s="49"/>
      <c r="C39" s="50"/>
      <c r="D39" s="50"/>
      <c r="E39" s="50"/>
      <c r="F39" s="51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</row>
    <row r="40" s="17" customFormat="1" ht="27.95" customHeight="1" spans="1:18">
      <c r="A40" s="20"/>
      <c r="B40" s="49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</row>
    <row r="41" s="17" customFormat="1" ht="13.5" spans="1:18">
      <c r="A41" s="20"/>
      <c r="B41" s="49"/>
      <c r="C41" s="50"/>
      <c r="D41" s="50"/>
      <c r="E41" s="50"/>
      <c r="F41" s="52"/>
      <c r="G41" s="53"/>
      <c r="H41" s="53"/>
      <c r="I41" s="53"/>
      <c r="J41" s="53"/>
      <c r="K41" s="53"/>
      <c r="L41" s="53"/>
      <c r="M41" s="53"/>
      <c r="N41" s="50"/>
      <c r="O41" s="50"/>
      <c r="P41" s="50"/>
      <c r="Q41" s="50"/>
      <c r="R41" s="50"/>
    </row>
    <row r="42" s="17" customFormat="1" ht="13.5" spans="1:18">
      <c r="A42" s="20"/>
      <c r="B42" s="49"/>
      <c r="C42" s="50"/>
      <c r="D42" s="50"/>
      <c r="E42" s="50"/>
      <c r="F42" s="54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</row>
    <row r="43" s="17" customFormat="1" ht="13.5" spans="1:18">
      <c r="A43" s="20"/>
      <c r="B43" s="49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</row>
  </sheetData>
  <mergeCells count="39">
    <mergeCell ref="A1:R1"/>
    <mergeCell ref="A2:D2"/>
    <mergeCell ref="Q2:R2"/>
    <mergeCell ref="C3:G3"/>
    <mergeCell ref="H3:L3"/>
    <mergeCell ref="O3:Q3"/>
    <mergeCell ref="N8:Q8"/>
    <mergeCell ref="N9:Q9"/>
    <mergeCell ref="N10:Q10"/>
    <mergeCell ref="N11:Q11"/>
    <mergeCell ref="N12:Q12"/>
    <mergeCell ref="N13:Q13"/>
    <mergeCell ref="N14:Q14"/>
    <mergeCell ref="N15:Q15"/>
    <mergeCell ref="N16:Q16"/>
    <mergeCell ref="N17:Q17"/>
    <mergeCell ref="N18:Q18"/>
    <mergeCell ref="N19:Q19"/>
    <mergeCell ref="R19:U19"/>
    <mergeCell ref="N20:Q20"/>
    <mergeCell ref="N24:Q24"/>
    <mergeCell ref="N25:Q25"/>
    <mergeCell ref="N26:Q26"/>
    <mergeCell ref="N27:Q27"/>
    <mergeCell ref="N28:Q28"/>
    <mergeCell ref="N29:Q29"/>
    <mergeCell ref="N30:Q30"/>
    <mergeCell ref="N31:Q31"/>
    <mergeCell ref="N32:Q32"/>
    <mergeCell ref="N33:Q33"/>
    <mergeCell ref="N34:Q34"/>
    <mergeCell ref="N35:Q35"/>
    <mergeCell ref="N36:Q36"/>
    <mergeCell ref="N37:Q37"/>
    <mergeCell ref="N38:Q38"/>
    <mergeCell ref="A3:A4"/>
    <mergeCell ref="B3:B4"/>
    <mergeCell ref="M3:M4"/>
    <mergeCell ref="R3:R4"/>
  </mergeCells>
  <printOptions horizontalCentered="1"/>
  <pageMargins left="0.236111111111111" right="0.275" top="0.472222222222222" bottom="0.472222222222222" header="0.298611111111111" footer="0.298611111111111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K16" sqref="K16"/>
    </sheetView>
  </sheetViews>
  <sheetFormatPr defaultColWidth="9.33333333333333" defaultRowHeight="12.75" outlineLevelCol="6"/>
  <cols>
    <col min="1" max="1" width="9.33333333333333" style="1"/>
    <col min="2" max="2" width="23.1666666666667" style="1" customWidth="1"/>
    <col min="3" max="3" width="19.6666666666667" style="1" customWidth="1"/>
    <col min="4" max="4" width="16.3333333333333" style="2" customWidth="1"/>
    <col min="5" max="5" width="18.8333333333333" style="2" customWidth="1"/>
    <col min="6" max="6" width="18.6666666666667" style="1" customWidth="1"/>
    <col min="7" max="7" width="22.1666666666667" style="1" customWidth="1"/>
    <col min="8" max="16384" width="9.33333333333333" style="1"/>
  </cols>
  <sheetData>
    <row r="1" customHeight="1"/>
    <row r="3" ht="26.1" customHeight="1" spans="1:7">
      <c r="A3" s="3" t="s">
        <v>3</v>
      </c>
      <c r="B3" s="3" t="s">
        <v>4</v>
      </c>
      <c r="C3" s="4" t="s">
        <v>68</v>
      </c>
      <c r="D3" s="5" t="s">
        <v>69</v>
      </c>
      <c r="E3" s="6" t="s">
        <v>70</v>
      </c>
      <c r="F3" s="7" t="s">
        <v>71</v>
      </c>
      <c r="G3" s="3" t="s">
        <v>72</v>
      </c>
    </row>
    <row r="4" ht="26.1" customHeight="1" spans="1:7">
      <c r="A4" s="3"/>
      <c r="B4" s="3"/>
      <c r="C4" s="8"/>
      <c r="D4" s="9"/>
      <c r="E4" s="6"/>
      <c r="F4" s="7"/>
      <c r="G4" s="3"/>
    </row>
    <row r="5" ht="26.1" customHeight="1" spans="1:7">
      <c r="A5" s="3" t="s">
        <v>20</v>
      </c>
      <c r="B5" s="3" t="s">
        <v>73</v>
      </c>
      <c r="C5" s="3">
        <f>SUM(C6:C7)</f>
        <v>3298.18</v>
      </c>
      <c r="D5" s="10"/>
      <c r="E5" s="10"/>
      <c r="F5" s="11"/>
      <c r="G5" s="3"/>
    </row>
    <row r="6" ht="26.1" customHeight="1" spans="1:7">
      <c r="A6" s="3" t="s">
        <v>74</v>
      </c>
      <c r="B6" s="3" t="s">
        <v>75</v>
      </c>
      <c r="C6" s="3">
        <v>2135.25</v>
      </c>
      <c r="D6" s="10">
        <f>总概算表!G5</f>
        <v>4465.85</v>
      </c>
      <c r="E6" s="10">
        <f>D6-C6</f>
        <v>2330.6</v>
      </c>
      <c r="F6" s="11">
        <f>E6/C6</f>
        <v>1.0915</v>
      </c>
      <c r="G6" s="3"/>
    </row>
    <row r="7" ht="26.1" customHeight="1" spans="1:7">
      <c r="A7" s="3" t="s">
        <v>76</v>
      </c>
      <c r="B7" s="3" t="s">
        <v>77</v>
      </c>
      <c r="C7" s="3">
        <v>1162.93</v>
      </c>
      <c r="D7" s="10"/>
      <c r="E7" s="10"/>
      <c r="F7" s="11"/>
      <c r="G7" s="3"/>
    </row>
    <row r="8" ht="26.1" customHeight="1" spans="1:7">
      <c r="A8" s="3" t="s">
        <v>24</v>
      </c>
      <c r="B8" s="3" t="s">
        <v>78</v>
      </c>
      <c r="C8" s="3">
        <v>406.77</v>
      </c>
      <c r="D8" s="10">
        <f>总概算表!G8</f>
        <v>820.81</v>
      </c>
      <c r="E8" s="10">
        <f>D8-C8</f>
        <v>414.04</v>
      </c>
      <c r="F8" s="11">
        <f>E8/C8</f>
        <v>1.0179</v>
      </c>
      <c r="G8" s="3"/>
    </row>
    <row r="9" ht="26.1" customHeight="1" spans="1:7">
      <c r="A9" s="3" t="s">
        <v>57</v>
      </c>
      <c r="B9" s="3" t="s">
        <v>58</v>
      </c>
      <c r="C9" s="3">
        <v>296.4</v>
      </c>
      <c r="D9" s="10">
        <f>总概算表!G34</f>
        <v>264.33</v>
      </c>
      <c r="E9" s="12">
        <f>D9-C9</f>
        <v>-32.07</v>
      </c>
      <c r="F9" s="13">
        <f>E9/C9</f>
        <v>-0.1082</v>
      </c>
      <c r="G9" s="4" t="s">
        <v>79</v>
      </c>
    </row>
    <row r="10" ht="26.1" customHeight="1" spans="1:7">
      <c r="A10" s="3"/>
      <c r="B10" s="3"/>
      <c r="C10" s="3"/>
      <c r="D10" s="10"/>
      <c r="E10" s="14"/>
      <c r="F10" s="15"/>
      <c r="G10" s="8"/>
    </row>
    <row r="11" ht="26.1" customHeight="1" spans="1:7">
      <c r="A11" s="3" t="s">
        <v>62</v>
      </c>
      <c r="B11" s="3" t="s">
        <v>63</v>
      </c>
      <c r="C11" s="10">
        <v>0</v>
      </c>
      <c r="D11" s="10">
        <f>总概算表!G37</f>
        <v>0</v>
      </c>
      <c r="E11" s="10"/>
      <c r="F11" s="11"/>
      <c r="G11" s="7"/>
    </row>
    <row r="12" ht="26.1" customHeight="1" spans="1:7">
      <c r="A12" s="3" t="s">
        <v>65</v>
      </c>
      <c r="B12" s="3" t="s">
        <v>80</v>
      </c>
      <c r="C12" s="3">
        <f>SUM(C5,C8:C11)</f>
        <v>4001.35</v>
      </c>
      <c r="D12" s="10">
        <f>SUM(D5:D11)</f>
        <v>5550.99</v>
      </c>
      <c r="E12" s="10">
        <f>D12-C12</f>
        <v>1549.64</v>
      </c>
      <c r="F12" s="11">
        <f>E12/C12</f>
        <v>0.3873</v>
      </c>
      <c r="G12" s="3"/>
    </row>
    <row r="13" ht="26.1" customHeight="1"/>
    <row r="14" ht="26.1" customHeight="1"/>
    <row r="15" ht="26.1" customHeight="1"/>
  </sheetData>
  <mergeCells count="14">
    <mergeCell ref="A3:A4"/>
    <mergeCell ref="A9:A10"/>
    <mergeCell ref="B3:B4"/>
    <mergeCell ref="B9:B10"/>
    <mergeCell ref="C3:C4"/>
    <mergeCell ref="C9:C10"/>
    <mergeCell ref="D3:D4"/>
    <mergeCell ref="D9:D10"/>
    <mergeCell ref="E3:E4"/>
    <mergeCell ref="E9:E10"/>
    <mergeCell ref="F3:F4"/>
    <mergeCell ref="F9:F10"/>
    <mergeCell ref="G3:G4"/>
    <mergeCell ref="G9:G1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总概算表</vt:lpstr>
      <vt:lpstr>对比表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懂你</cp:lastModifiedBy>
  <dcterms:created xsi:type="dcterms:W3CDTF">2020-12-17T02:15:00Z</dcterms:created>
  <cp:lastPrinted>2022-06-07T09:23:00Z</cp:lastPrinted>
  <dcterms:modified xsi:type="dcterms:W3CDTF">2025-03-26T09:50:15Z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eadingLayout">
    <vt:bool>true</vt:bool>
  </property>
  <property fmtid="{D5CDD505-2E9C-101B-9397-08002B2CF9AE}" pid="4" name="ICV">
    <vt:lpwstr>D2EA344658524874AA41CB833008DFF4_13</vt:lpwstr>
  </property>
</Properties>
</file>